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<sst xmlns="http://schemas.openxmlformats.org/spreadsheetml/2006/main" count="2238" uniqueCount="299">
  <si>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</si>
  <si>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</si>
  <si>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</si>
  <si>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</si>
  <si>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</si>
  <si>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</si>
  <si>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</si>
  <si>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</si>
  <si>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</si>
  <si>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</si>
  <si>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</si>
  <si>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</si>
  <si>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</si>
  <si>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</si>
  <si>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</si>
  <si>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</si>
  <si>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</si>
  <si>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</si>
  <si>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</si>
  <si>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</si>
  <si>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</si>
  <si>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</si>
  <si>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</si>
  <si>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</si>
  <si>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</si>
  <si>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</si>
  <si>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</si>
  <si>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</si>
  <si>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</si>
  <si>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</si>
  <si>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</si>
  <si>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</si>
  <si>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</si>
  <si>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</si>
  <si>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</si>
  <si>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</si>
  <si>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</si>
  <si>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</si>
  <si>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</si>
  <si>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</si>
  <si>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</si>
  <si>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</si>
  <si>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</si>
  <si>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</si>
  <si>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</si>
  <si>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</si>
  <si>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</si>
  <si>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</si>
  <si>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</si>
  <si>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</si>
  <si>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</si>
  <si>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</si>
  <si>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</si>
  <si>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</si>
  <si>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</si>
  <si>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</si>
  <si>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</si>
  <si>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</si>
  <si>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</si>
  <si>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</si>
  <si>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</si>
  <si>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</si>
  <si>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</si>
  <si>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</si>
  <si>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</si>
  <si>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</si>
  <si>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</si>
  <si>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</si>
  <si>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</si>
  <si>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</si>
  <si>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</si>
  <si>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</si>
  <si>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</si>
  <si>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</si>
  <si>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</si>
  <si>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</si>
  <si>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</si>
  <si>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</si>
  <si>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</si>
  <si>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</si>
  <si>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</si>
  <si>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</si>
  <si>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</si>
  <si>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</si>
  <si>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</si>
  <si>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</si>
  <si>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</si>
  <si>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</si>
  <si>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</si>
  <si>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</si>
  <si>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</si>
  <si>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</si>
  <si>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</si>
  <si>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</si>
  <si>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</si>
  <si>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</si>
  <si>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</si>
  <si>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</si>
  <si>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</si>
  <si>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</si>
  <si>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</si>
  <si>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</si>
  <si>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</si>
  <si>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</si>
  <si>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</si>
  <si>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</si>
  <si>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</si>
  <si>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</si>
  <si>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</si>
  <si>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</si>
  <si>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</si>
  <si>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</si>
  <si>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</si>
  <si>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</si>
  <si>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</si>
  <si>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</si>
  <si>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</si>
  <si>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</si>
  <si>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</si>
  <si>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</si>
  <si>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</si>
  <si>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</si>
  <si>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</si>
  <si>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</si>
  <si>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</si>
  <si>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</si>
  <si>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</si>
  <si>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</si>
  <si>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</si>
  <si>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</si>
  <si>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</si>
  <si>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</si>
  <si>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</si>
  <si>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</si>
  <si>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</si>
  <si>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</si>
  <si>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</si>
  <si>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</si>
  <si>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</si>
  <si>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</si>
  <si>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</si>
  <si>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</si>
  <si>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</si>
  <si>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</si>
  <si>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</si>
  <si>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</si>
  <si>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</si>
  <si>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</si>
  <si>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</si>
  <si>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</si>
  <si>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</si>
  <si>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</si>
  <si>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</si>
  <si>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</si>
  <si>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</si>
  <si>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</si>
  <si>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</si>
  <si>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</si>
  <si>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</si>
  <si>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</si>
  <si>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</si>
  <si>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</si>
  <si>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</si>
  <si>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</si>
  <si>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</si>
  <si>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</si>
  <si>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</si>
  <si>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</si>
  <si>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</si>
  <si>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</si>
  <si>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</si>
  <si>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</si>
  <si>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</si>
  <si>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</si>
  <si>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</si>
  <si>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</si>
  <si>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</si>
  <si>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</si>
  <si>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</si>
  <si>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</si>
  <si>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</si>
  <si>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</si>
  <si>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</si>
  <si>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</si>
  <si>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</si>
  <si>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</si>
  <si>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</si>
  <si>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</si>
  <si>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</si>
  <si>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</si>
  <si>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</si>
  <si>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</si>
  <si>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</si>
  <si>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</si>
  <si>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</si>
  <si>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</si>
  <si>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</si>
  <si>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</si>
  <si>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</si>
  <si>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</si>
  <si>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</si>
  <si>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</si>
  <si>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</si>
  <si>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</si>
  <si>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</si>
  <si>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</si>
  <si>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</si>
  <si>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</si>
  <si>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</si>
  <si>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</si>
  <si>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</si>
  <si>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</si>
  <si>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</si>
  <si>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</si>
  <si>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</si>
  <si>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</si>
  <si>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</si>
  <si>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</si>
  <si>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</si>
  <si>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</si>
  <si>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</si>
  <si>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</si>
  <si>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</si>
  <si>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</si>
  <si>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</si>
  <si>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</si>
  <si>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</si>
  <si>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</si>
  <si>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</si>
  <si>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</si>
  <si>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</si>
  <si>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</si>
  <si>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</si>
  <si>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</si>
  <si>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</si>
  <si>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</si>
  <si>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</si>
  <si>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</si>
  <si>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</si>
  <si>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</si>
  <si>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</si>
  <si>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</si>
  <si>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</si>
  <si>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</si>
  <si>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</si>
  <si>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</si>
  <si>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</si>
  <si>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</si>
  <si>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</si>
  <si>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</si>
  <si>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</si>
  <si>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</si>
  <si>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</si>
  <si>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</si>
  <si>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</si>
  <si>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</si>
  <si>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</si>
  <si>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</si>
  <si>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</si>
  <si>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</si>
  <si>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</si>
  <si>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</si>
  <si>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</si>
  <si>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</si>
  <si>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</si>
  <si>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</si>
  <si>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</si>
  <si>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</si>
  <si>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</si>
  <si>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</si>
  <si>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</si>
  <si>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</si>
  <si>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</si>
  <si>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</si>
  <si>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</si>
  <si>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</si>
  <si>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</si>
  <si>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</si>
  <si>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</si>
  <si>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</si>
  <si>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</si>
  <si>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</si>
  <si>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</si>
  <si>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</si>
  <si>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</si>
  <si>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</si>
  <si>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</si>
  <si>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</si>
  <si>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</si>
  <si>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</si>
  <si>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</si>
  <si>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</si>
  <si>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</si>
  <si>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</si>
  <si>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</si>
  <si>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</si>
  <si>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</si>
  <si>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</si>
  <si>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24.11.14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</si>
</sst>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1"/>
      <sheetName val="депозит"/>
      <sheetName val="залишки  (2)"/>
      <sheetName val="надх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8909732.21</v>
          </cell>
        </row>
      </sheetData>
      <sheetData sheetId="14">
        <row r="52">
          <cell r="B52">
            <v>9388896.66</v>
          </cell>
        </row>
      </sheetData>
      <sheetData sheetId="23">
        <row r="28">
          <cell r="C28">
            <v>4870376.3</v>
          </cell>
        </row>
      </sheetData>
      <sheetData sheetId="24">
        <row r="28">
          <cell r="C28">
            <v>3219411</v>
          </cell>
        </row>
      </sheetData>
      <sheetData sheetId="25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50" sqref="F150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294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291</v>
      </c>
      <c r="H4" s="200" t="s">
        <v>280</v>
      </c>
      <c r="I4" s="202" t="s">
        <v>188</v>
      </c>
      <c r="J4" s="204" t="s">
        <v>189</v>
      </c>
      <c r="K4" s="206" t="s">
        <v>292</v>
      </c>
      <c r="L4" s="207"/>
      <c r="M4" s="194"/>
      <c r="N4" s="181" t="s">
        <v>298</v>
      </c>
      <c r="O4" s="202" t="s">
        <v>136</v>
      </c>
      <c r="P4" s="202" t="s">
        <v>135</v>
      </c>
      <c r="Q4" s="206" t="s">
        <v>296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290</v>
      </c>
      <c r="F5" s="197"/>
      <c r="G5" s="199"/>
      <c r="H5" s="201"/>
      <c r="I5" s="203"/>
      <c r="J5" s="205"/>
      <c r="K5" s="208"/>
      <c r="L5" s="209"/>
      <c r="M5" s="151" t="s">
        <v>293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416787.9800000001</v>
      </c>
      <c r="G8" s="22">
        <f aca="true" t="shared" si="0" ref="G8:G30">F8-E8</f>
        <v>-14470.049999999872</v>
      </c>
      <c r="H8" s="51">
        <f>F8/E8*100</f>
        <v>96.64468856382805</v>
      </c>
      <c r="I8" s="36">
        <f aca="true" t="shared" si="1" ref="I8:I17">F8-D8</f>
        <v>-71688.31999999989</v>
      </c>
      <c r="J8" s="36">
        <f aca="true" t="shared" si="2" ref="J8:J14">F8/D8*100</f>
        <v>85.32409453641868</v>
      </c>
      <c r="K8" s="36">
        <f>F8-421084.1</f>
        <v>-4296.119999999879</v>
      </c>
      <c r="L8" s="136">
        <f>F8/421084.1</f>
        <v>0.9897974775110248</v>
      </c>
      <c r="M8" s="22">
        <f>M10+M19+M33+M56+M68+M30</f>
        <v>40254.39000000002</v>
      </c>
      <c r="N8" s="22">
        <f>N10+N19+N33+N56+N68+N30</f>
        <v>28028.730000000036</v>
      </c>
      <c r="O8" s="36">
        <f aca="true" t="shared" si="3" ref="O8:O71">N8-M8</f>
        <v>-12225.659999999985</v>
      </c>
      <c r="P8" s="36">
        <f>F8/M8*100</f>
        <v>1035.385159233564</v>
      </c>
      <c r="Q8" s="36">
        <f>N8-39535.7</f>
        <v>-11506.969999999961</v>
      </c>
      <c r="R8" s="134">
        <f>N8/39535.7</f>
        <v>0.7089473564398768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341742.53</v>
      </c>
      <c r="G9" s="22">
        <f t="shared" si="0"/>
        <v>341742.53</v>
      </c>
      <c r="H9" s="20"/>
      <c r="I9" s="56">
        <f t="shared" si="1"/>
        <v>-45270.669999999984</v>
      </c>
      <c r="J9" s="56">
        <f t="shared" si="2"/>
        <v>88.30255143752204</v>
      </c>
      <c r="K9" s="56"/>
      <c r="L9" s="135"/>
      <c r="M9" s="20">
        <f>M10+M17</f>
        <v>32301.900000000023</v>
      </c>
      <c r="N9" s="20">
        <f>N10+N17</f>
        <v>25720.340000000026</v>
      </c>
      <c r="O9" s="36">
        <f t="shared" si="3"/>
        <v>-6581.559999999998</v>
      </c>
      <c r="P9" s="56">
        <f>F9/M9*100</f>
        <v>1057.9641754819368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341742.53</v>
      </c>
      <c r="G10" s="49">
        <f t="shared" si="0"/>
        <v>-10265.469999999972</v>
      </c>
      <c r="H10" s="40">
        <f aca="true" t="shared" si="4" ref="H10:H17">F10/E10*100</f>
        <v>97.08373957410059</v>
      </c>
      <c r="I10" s="56">
        <f t="shared" si="1"/>
        <v>-45270.669999999984</v>
      </c>
      <c r="J10" s="56">
        <f t="shared" si="2"/>
        <v>88.30255143752204</v>
      </c>
      <c r="K10" s="141">
        <f>F10-334336.4</f>
        <v>7406.130000000005</v>
      </c>
      <c r="L10" s="142">
        <f>F10/334336.4</f>
        <v>1.0221517310110415</v>
      </c>
      <c r="M10" s="40">
        <f>E10-жовтень!E10</f>
        <v>32301.900000000023</v>
      </c>
      <c r="N10" s="40">
        <f>F10-жовтень!F10</f>
        <v>25720.340000000026</v>
      </c>
      <c r="O10" s="53">
        <f t="shared" si="3"/>
        <v>-6581.559999999998</v>
      </c>
      <c r="P10" s="56">
        <f aca="true" t="shared" si="5" ref="P10:P17">N10/M10*100</f>
        <v>79.62485178890408</v>
      </c>
      <c r="Q10" s="141">
        <f>N10-32243.9</f>
        <v>-6523.559999999976</v>
      </c>
      <c r="R10" s="142">
        <f>N10/32243.9</f>
        <v>0.7976808016400009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-1132.05</v>
      </c>
      <c r="G19" s="49">
        <f t="shared" si="0"/>
        <v>-2211.6499999999996</v>
      </c>
      <c r="H19" s="40">
        <f aca="true" t="shared" si="6" ref="H19:H29">F19/E19*100</f>
        <v>-104.85828084475732</v>
      </c>
      <c r="I19" s="56">
        <f aca="true" t="shared" si="7" ref="I19:I29">F19-D19</f>
        <v>-2132.05</v>
      </c>
      <c r="J19" s="56">
        <f aca="true" t="shared" si="8" ref="J19:J29">F19/D19*100</f>
        <v>-113.205</v>
      </c>
      <c r="K19" s="167">
        <f>F19-7207</f>
        <v>-8339.05</v>
      </c>
      <c r="L19" s="168">
        <f>F19/7207</f>
        <v>-0.1570764534480366</v>
      </c>
      <c r="M19" s="40">
        <f>E19-жовтень!E19</f>
        <v>12</v>
      </c>
      <c r="N19" s="40">
        <f>F19-жовтень!F19</f>
        <v>-251.15999999999997</v>
      </c>
      <c r="O19" s="53">
        <f t="shared" si="3"/>
        <v>-263.15999999999997</v>
      </c>
      <c r="P19" s="56">
        <f aca="true" t="shared" si="9" ref="P19:P29">N19/M19*100</f>
        <v>-2092.9999999999995</v>
      </c>
      <c r="Q19" s="56">
        <f>N19-363.4</f>
        <v>-614.56</v>
      </c>
      <c r="R19" s="135">
        <f>N19/363.4</f>
        <v>-0.691139240506329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-648.74</v>
      </c>
      <c r="G29" s="49">
        <f t="shared" si="0"/>
        <v>-1468.3400000000001</v>
      </c>
      <c r="H29" s="40">
        <f t="shared" si="6"/>
        <v>-79.15324548560272</v>
      </c>
      <c r="I29" s="56">
        <f t="shared" si="7"/>
        <v>-1578.74</v>
      </c>
      <c r="J29" s="56">
        <f t="shared" si="8"/>
        <v>-69.75698924731184</v>
      </c>
      <c r="K29" s="148">
        <f>F29-3580.01</f>
        <v>-4228.75</v>
      </c>
      <c r="L29" s="149">
        <f>F29/3580.01</f>
        <v>-0.1812117843246248</v>
      </c>
      <c r="M29" s="40">
        <f>E29-жовтень!E29</f>
        <v>12</v>
      </c>
      <c r="N29" s="40">
        <f>F29-жовтень!F29</f>
        <v>-266.84000000000003</v>
      </c>
      <c r="O29" s="148">
        <f t="shared" si="3"/>
        <v>-278.84000000000003</v>
      </c>
      <c r="P29" s="145">
        <f t="shared" si="9"/>
        <v>-2223.666666666667</v>
      </c>
      <c r="Q29" s="148">
        <f>N29-664.71</f>
        <v>-931.5500000000001</v>
      </c>
      <c r="R29" s="149">
        <f>N29/664.71</f>
        <v>-0.40143822117916084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70313.6</v>
      </c>
      <c r="G33" s="49">
        <f aca="true" t="shared" si="14" ref="G33:G72">F33-E33</f>
        <v>-1599.8299999999872</v>
      </c>
      <c r="H33" s="40">
        <f aca="true" t="shared" si="15" ref="H33:H67">F33/E33*100</f>
        <v>97.77533904306888</v>
      </c>
      <c r="I33" s="56">
        <f>F33-D33</f>
        <v>-23252.399999999994</v>
      </c>
      <c r="J33" s="56">
        <f aca="true" t="shared" si="16" ref="J33:J72">F33/D33*100</f>
        <v>75.1486651133959</v>
      </c>
      <c r="K33" s="141">
        <f>F33-73845.7</f>
        <v>-3532.0999999999913</v>
      </c>
      <c r="L33" s="142">
        <f>F33/73845.7</f>
        <v>0.9521691852064509</v>
      </c>
      <c r="M33" s="40">
        <f>E33-жовтень!E33</f>
        <v>7377.5899999999965</v>
      </c>
      <c r="N33" s="40">
        <f>F33-жовтень!F33</f>
        <v>2046.7600000000093</v>
      </c>
      <c r="O33" s="53">
        <f t="shared" si="3"/>
        <v>-5330.829999999987</v>
      </c>
      <c r="P33" s="56">
        <f aca="true" t="shared" si="17" ref="P33:P67">N33/M33*100</f>
        <v>27.742935023496972</v>
      </c>
      <c r="Q33" s="141">
        <f>N33-6429.9</f>
        <v>-4383.13999999999</v>
      </c>
      <c r="R33" s="142">
        <f>N33/6429.9</f>
        <v>0.31831910294094923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52490.47</v>
      </c>
      <c r="G55" s="144">
        <f t="shared" si="14"/>
        <v>-358.0599999999977</v>
      </c>
      <c r="H55" s="146">
        <f t="shared" si="15"/>
        <v>99.32247878985471</v>
      </c>
      <c r="I55" s="145">
        <f t="shared" si="18"/>
        <v>-17775.53</v>
      </c>
      <c r="J55" s="145">
        <f t="shared" si="16"/>
        <v>74.70251615290468</v>
      </c>
      <c r="K55" s="148">
        <f>F55-53912.95</f>
        <v>-1422.479999999996</v>
      </c>
      <c r="L55" s="149">
        <f>F55/53912.95</f>
        <v>0.9736152445748193</v>
      </c>
      <c r="M55" s="40">
        <f>E55-жовтень!E55</f>
        <v>5442.989999999998</v>
      </c>
      <c r="N55" s="40">
        <f>F55-жовтень!F55</f>
        <v>1785.8199999999997</v>
      </c>
      <c r="O55" s="148">
        <f t="shared" si="3"/>
        <v>-3657.1699999999983</v>
      </c>
      <c r="P55" s="148">
        <f t="shared" si="17"/>
        <v>32.80954034455328</v>
      </c>
      <c r="Q55" s="160">
        <f>N55-4756.32</f>
        <v>-2970.5</v>
      </c>
      <c r="R55" s="161">
        <f>N55/4756.32</f>
        <v>0.37546254246980854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1.51+5829.19</f>
        <v>5830.7</v>
      </c>
      <c r="G56" s="49">
        <f t="shared" si="14"/>
        <v>-389.1999999999998</v>
      </c>
      <c r="H56" s="40">
        <f t="shared" si="15"/>
        <v>93.74266467306549</v>
      </c>
      <c r="I56" s="56">
        <f t="shared" si="18"/>
        <v>-1029.3000000000002</v>
      </c>
      <c r="J56" s="56">
        <f t="shared" si="16"/>
        <v>84.99562682215743</v>
      </c>
      <c r="K56" s="56">
        <f>F56-6560</f>
        <v>-729.3000000000002</v>
      </c>
      <c r="L56" s="135">
        <f>F56/6560</f>
        <v>0.8888262195121951</v>
      </c>
      <c r="M56" s="40">
        <f>E56-жовтень!E56</f>
        <v>553.3999999999996</v>
      </c>
      <c r="N56" s="40">
        <f>F56-жовтень!F56</f>
        <v>484.7399999999998</v>
      </c>
      <c r="O56" s="53">
        <f t="shared" si="3"/>
        <v>-68.65999999999985</v>
      </c>
      <c r="P56" s="56">
        <f t="shared" si="17"/>
        <v>87.5930610769787</v>
      </c>
      <c r="Q56" s="56">
        <f>N56-486.5</f>
        <v>-1.7600000000002183</v>
      </c>
      <c r="R56" s="135">
        <f>N56/486.5</f>
        <v>0.9963823227132576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F68-(-1.9)</f>
        <v>3.7</v>
      </c>
      <c r="L68" s="135"/>
      <c r="M68" s="40">
        <f>E68-жовтень!E68</f>
        <v>0</v>
      </c>
      <c r="N68" s="40">
        <f>F68-жовтень!F68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11912.5</v>
      </c>
      <c r="G74" s="50">
        <f aca="true" t="shared" si="24" ref="G74:G92">F74-E74</f>
        <v>-3364.5</v>
      </c>
      <c r="H74" s="51">
        <f aca="true" t="shared" si="25" ref="H74:H87">F74/E74*100</f>
        <v>77.97669699548341</v>
      </c>
      <c r="I74" s="36">
        <f aca="true" t="shared" si="26" ref="I74:I92">F74-D74</f>
        <v>-6445.799999999999</v>
      </c>
      <c r="J74" s="36">
        <f aca="true" t="shared" si="27" ref="J74:J92">F74/D74*100</f>
        <v>64.88890583550764</v>
      </c>
      <c r="K74" s="36">
        <f>F74-17827.8</f>
        <v>-5915.299999999999</v>
      </c>
      <c r="L74" s="136">
        <f>F74/17827.8</f>
        <v>0.6681979829255433</v>
      </c>
      <c r="M74" s="22">
        <f>M77+M86+M88+M89+M94+M95+M96+M97+M99+M87+M104</f>
        <v>1580.5</v>
      </c>
      <c r="N74" s="22">
        <f>N77+N86+N88+N89+N94+N95+N96+N97+N99+N32+N104+N87+N103</f>
        <v>1123.5900000000001</v>
      </c>
      <c r="O74" s="55">
        <f aca="true" t="shared" si="28" ref="O74:O92">N74-M74</f>
        <v>-456.90999999999985</v>
      </c>
      <c r="P74" s="36">
        <f>N74/M74*100</f>
        <v>71.09079405251504</v>
      </c>
      <c r="Q74" s="36">
        <f>N74-1502.5</f>
        <v>-378.90999999999985</v>
      </c>
      <c r="R74" s="136">
        <f>N74/1502.5</f>
        <v>0.7478136439267887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153.52</v>
      </c>
      <c r="G77" s="49">
        <f t="shared" si="24"/>
        <v>-6.47999999999999</v>
      </c>
      <c r="H77" s="40">
        <f t="shared" si="25"/>
        <v>95.95</v>
      </c>
      <c r="I77" s="56">
        <f t="shared" si="26"/>
        <v>-346.48</v>
      </c>
      <c r="J77" s="56">
        <f t="shared" si="27"/>
        <v>30.704000000000004</v>
      </c>
      <c r="K77" s="167">
        <f>F77-1728.8</f>
        <v>-1575.28</v>
      </c>
      <c r="L77" s="168">
        <f>F77/1728.8</f>
        <v>0.08880148079592783</v>
      </c>
      <c r="M77" s="40">
        <f>E77-жовтень!E77</f>
        <v>50</v>
      </c>
      <c r="N77" s="40">
        <f>F77-жовтень!F77</f>
        <v>30.070000000000007</v>
      </c>
      <c r="O77" s="53">
        <f t="shared" si="28"/>
        <v>-19.929999999999993</v>
      </c>
      <c r="P77" s="56">
        <f aca="true" t="shared" si="29" ref="P77:P87">N77/M77*100</f>
        <v>60.140000000000015</v>
      </c>
      <c r="Q77" s="56">
        <f>N77-11.1</f>
        <v>18.970000000000006</v>
      </c>
      <c r="R77" s="135">
        <f>N77/11.1</f>
        <v>2.70900900900901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281.93</v>
      </c>
      <c r="G87" s="49">
        <f t="shared" si="24"/>
        <v>61.93000000000001</v>
      </c>
      <c r="H87" s="40">
        <f t="shared" si="25"/>
        <v>128.15</v>
      </c>
      <c r="I87" s="56">
        <f t="shared" si="26"/>
        <v>-218.07</v>
      </c>
      <c r="J87" s="56">
        <f t="shared" si="27"/>
        <v>56.386</v>
      </c>
      <c r="K87" s="56">
        <f>F87-227.9</f>
        <v>54.03</v>
      </c>
      <c r="L87" s="135">
        <f>F87/227.9</f>
        <v>1.2370776656428257</v>
      </c>
      <c r="M87" s="40">
        <f>E87-жовтень!E87</f>
        <v>0</v>
      </c>
      <c r="N87" s="40">
        <f>F87-жовтень!F87</f>
        <v>2.329999999999984</v>
      </c>
      <c r="O87" s="53">
        <f t="shared" si="28"/>
        <v>2.329999999999984</v>
      </c>
      <c r="P87" s="56" t="e">
        <f t="shared" si="29"/>
        <v>#DIV/0!</v>
      </c>
      <c r="Q87" s="56">
        <f>N87-5.7</f>
        <v>-3.370000000000016</v>
      </c>
      <c r="R87" s="135">
        <f>N87/5.7</f>
        <v>0.4087719298245586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121.38</v>
      </c>
      <c r="G89" s="49">
        <f t="shared" si="24"/>
        <v>-37.620000000000005</v>
      </c>
      <c r="H89" s="40">
        <f>F89/E89*100</f>
        <v>76.33962264150944</v>
      </c>
      <c r="I89" s="56">
        <f t="shared" si="26"/>
        <v>-53.620000000000005</v>
      </c>
      <c r="J89" s="56">
        <f t="shared" si="27"/>
        <v>69.36</v>
      </c>
      <c r="K89" s="56">
        <f>F89-147.9</f>
        <v>-26.52000000000001</v>
      </c>
      <c r="L89" s="135">
        <f>F89/147.9</f>
        <v>0.8206896551724138</v>
      </c>
      <c r="M89" s="40">
        <f>E89-жовтень!E89</f>
        <v>15</v>
      </c>
      <c r="N89" s="40">
        <f>F89-жовтень!F89</f>
        <v>8.929999999999993</v>
      </c>
      <c r="O89" s="53">
        <f t="shared" si="28"/>
        <v>-6.070000000000007</v>
      </c>
      <c r="P89" s="56">
        <f>N89/M89*100</f>
        <v>59.53333333333328</v>
      </c>
      <c r="Q89" s="56">
        <f>N89-10.4</f>
        <v>-1.4700000000000077</v>
      </c>
      <c r="R89" s="135">
        <f>N89/10.4</f>
        <v>0.8586538461538454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6573.91</v>
      </c>
      <c r="G95" s="49">
        <f t="shared" si="31"/>
        <v>167.40999999999985</v>
      </c>
      <c r="H95" s="40">
        <f>F95/E95*100</f>
        <v>102.61312729259346</v>
      </c>
      <c r="I95" s="56">
        <f t="shared" si="32"/>
        <v>-426.09000000000015</v>
      </c>
      <c r="J95" s="56">
        <f>F95/D95*100</f>
        <v>93.913</v>
      </c>
      <c r="K95" s="56">
        <f>F95-6761</f>
        <v>-187.09000000000015</v>
      </c>
      <c r="L95" s="135">
        <f>F95/6761</f>
        <v>0.9723280579795888</v>
      </c>
      <c r="M95" s="40">
        <f>E95-жовтень!E95</f>
        <v>575</v>
      </c>
      <c r="N95" s="40">
        <f>F95-жовтень!F95</f>
        <v>636.7600000000002</v>
      </c>
      <c r="O95" s="53">
        <f t="shared" si="33"/>
        <v>61.76000000000022</v>
      </c>
      <c r="P95" s="56">
        <f>N95/M95*100</f>
        <v>110.74086956521742</v>
      </c>
      <c r="Q95" s="56">
        <f>N95-591</f>
        <v>45.76000000000022</v>
      </c>
      <c r="R95" s="135">
        <f>N95/591</f>
        <v>1.077428087986464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963.92</v>
      </c>
      <c r="G96" s="49">
        <f t="shared" si="31"/>
        <v>-50.58000000000004</v>
      </c>
      <c r="H96" s="40">
        <f>F96/E96*100</f>
        <v>95.01429275505174</v>
      </c>
      <c r="I96" s="56">
        <f t="shared" si="32"/>
        <v>-236.08000000000004</v>
      </c>
      <c r="J96" s="56">
        <f>F96/D96*100</f>
        <v>80.32666666666667</v>
      </c>
      <c r="K96" s="56">
        <f>F96-1013.8</f>
        <v>-49.879999999999995</v>
      </c>
      <c r="L96" s="135">
        <f>F96/1013.8</f>
        <v>0.9507989741566384</v>
      </c>
      <c r="M96" s="40">
        <f>E96-жовтень!E96</f>
        <v>110</v>
      </c>
      <c r="N96" s="40">
        <f>F96-жовтень!F96</f>
        <v>98.75</v>
      </c>
      <c r="O96" s="53">
        <f t="shared" si="33"/>
        <v>-11.25</v>
      </c>
      <c r="P96" s="56">
        <f>N96/M96*100</f>
        <v>89.77272727272727</v>
      </c>
      <c r="Q96" s="56">
        <f>N96-83.7</f>
        <v>15.049999999999997</v>
      </c>
      <c r="R96" s="135">
        <f>N96/83.7</f>
        <v>1.1798088410991636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3793.35</v>
      </c>
      <c r="G99" s="49">
        <f t="shared" si="31"/>
        <v>126.34999999999991</v>
      </c>
      <c r="H99" s="40">
        <f>F99/E99*100</f>
        <v>103.44559585492227</v>
      </c>
      <c r="I99" s="56">
        <f t="shared" si="32"/>
        <v>-779.3499999999999</v>
      </c>
      <c r="J99" s="56">
        <f>F99/D99*100</f>
        <v>82.95645898484484</v>
      </c>
      <c r="K99" s="56">
        <f>F99-4178.8</f>
        <v>-385.4500000000003</v>
      </c>
      <c r="L99" s="135">
        <f>F99/4178.8</f>
        <v>0.9077606011295108</v>
      </c>
      <c r="M99" s="40">
        <f>E99-жовтень!E99</f>
        <v>330</v>
      </c>
      <c r="N99" s="40">
        <f>F99-жовтень!F99</f>
        <v>346.40999999999985</v>
      </c>
      <c r="O99" s="53">
        <f t="shared" si="33"/>
        <v>16.409999999999854</v>
      </c>
      <c r="P99" s="56">
        <f>N99/M99*100</f>
        <v>104.97272727272721</v>
      </c>
      <c r="Q99" s="56">
        <f>N99-332.8</f>
        <v>13.609999999999843</v>
      </c>
      <c r="R99" s="135">
        <f>N99/332.8</f>
        <v>1.0408954326923072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919.7</v>
      </c>
      <c r="G102" s="144"/>
      <c r="H102" s="146"/>
      <c r="I102" s="145"/>
      <c r="J102" s="145"/>
      <c r="K102" s="148">
        <f>F102-738.2</f>
        <v>181.5</v>
      </c>
      <c r="L102" s="149">
        <f>F102/738.2</f>
        <v>1.2458683283662964</v>
      </c>
      <c r="M102" s="40">
        <f>E102-жовтень!E102</f>
        <v>0</v>
      </c>
      <c r="N102" s="40">
        <f>F102-жовтень!F102</f>
        <v>81.20000000000005</v>
      </c>
      <c r="O102" s="53"/>
      <c r="P102" s="60"/>
      <c r="Q102" s="60">
        <f>N102-89.7</f>
        <v>-8.499999999999957</v>
      </c>
      <c r="R102" s="138">
        <f>N102/89.7</f>
        <v>0.9052396878483839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-43.06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22.44</v>
      </c>
      <c r="G105" s="49">
        <f>F105-E105</f>
        <v>-7.759999999999998</v>
      </c>
      <c r="H105" s="40">
        <f>F105/E105*100</f>
        <v>74.30463576158941</v>
      </c>
      <c r="I105" s="56">
        <f t="shared" si="34"/>
        <v>-22.56</v>
      </c>
      <c r="J105" s="56">
        <f aca="true" t="shared" si="36" ref="J105:J110">F105/D105*100</f>
        <v>49.86666666666667</v>
      </c>
      <c r="K105" s="56">
        <f>F105-35.8</f>
        <v>-13.359999999999996</v>
      </c>
      <c r="L105" s="135">
        <f>F105/35.8</f>
        <v>0.6268156424581006</v>
      </c>
      <c r="M105" s="40">
        <f>E105-жовтень!E105</f>
        <v>3</v>
      </c>
      <c r="N105" s="40">
        <f>F105-жовтень!F105</f>
        <v>0.7300000000000004</v>
      </c>
      <c r="O105" s="53">
        <f t="shared" si="35"/>
        <v>-2.2699999999999996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428723.2900000001</v>
      </c>
      <c r="G107" s="175">
        <f>F107-E107</f>
        <v>-17841.939999999886</v>
      </c>
      <c r="H107" s="51">
        <f>F107/E107*100</f>
        <v>96.00462848395074</v>
      </c>
      <c r="I107" s="36">
        <f t="shared" si="34"/>
        <v>-78156.30999999988</v>
      </c>
      <c r="J107" s="36">
        <f t="shared" si="36"/>
        <v>84.5808925827751</v>
      </c>
      <c r="K107" s="36">
        <f>F107-438950.2</f>
        <v>-10226.909999999916</v>
      </c>
      <c r="L107" s="136">
        <f>F107/438950.2</f>
        <v>0.9767014344679649</v>
      </c>
      <c r="M107" s="22">
        <f>M8+M74+M105+M106</f>
        <v>41837.89000000002</v>
      </c>
      <c r="N107" s="22">
        <f>N8+N74+N105+N106</f>
        <v>29153.050000000036</v>
      </c>
      <c r="O107" s="55">
        <f t="shared" si="35"/>
        <v>-12684.839999999986</v>
      </c>
      <c r="P107" s="36">
        <f>N107/M107*100</f>
        <v>69.68097578534677</v>
      </c>
      <c r="Q107" s="36">
        <f>N107-41056.6</f>
        <v>-11903.549999999963</v>
      </c>
      <c r="R107" s="136">
        <f>N107/41056.6</f>
        <v>0.7100697573593536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342706.45</v>
      </c>
      <c r="G108" s="153">
        <f>G10-G18+G96</f>
        <v>-10316.049999999972</v>
      </c>
      <c r="H108" s="72">
        <f>F108/E108*100</f>
        <v>97.07779249197998</v>
      </c>
      <c r="I108" s="52">
        <f t="shared" si="34"/>
        <v>-45506.75</v>
      </c>
      <c r="J108" s="52">
        <f t="shared" si="36"/>
        <v>88.27789729973118</v>
      </c>
      <c r="K108" s="52">
        <f>F108-335439.2</f>
        <v>7267.25</v>
      </c>
      <c r="L108" s="137">
        <f>F108/335439.2</f>
        <v>1.0216648799544001</v>
      </c>
      <c r="M108" s="71">
        <f>M10-M18+M96</f>
        <v>32411.900000000023</v>
      </c>
      <c r="N108" s="71">
        <f>N10-N18+N96</f>
        <v>25819.090000000026</v>
      </c>
      <c r="O108" s="53">
        <f t="shared" si="35"/>
        <v>-6592.809999999998</v>
      </c>
      <c r="P108" s="52">
        <f>N108/M108*100</f>
        <v>79.65929180331918</v>
      </c>
      <c r="Q108" s="52">
        <f>N108-32327.7</f>
        <v>-6508.609999999975</v>
      </c>
      <c r="R108" s="137">
        <f>N108/32327.7</f>
        <v>0.798667706023009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86016.84000000008</v>
      </c>
      <c r="G109" s="176">
        <f>F109-E109</f>
        <v>-7525.889999999898</v>
      </c>
      <c r="H109" s="72">
        <f>F109/E109*100</f>
        <v>91.95459657848355</v>
      </c>
      <c r="I109" s="52">
        <f t="shared" si="34"/>
        <v>-32649.55999999988</v>
      </c>
      <c r="J109" s="52">
        <f t="shared" si="36"/>
        <v>72.48626401407653</v>
      </c>
      <c r="K109" s="52">
        <f>F109-103511.1</f>
        <v>-17494.259999999922</v>
      </c>
      <c r="L109" s="137">
        <f>F109/103511.1</f>
        <v>0.8309914588870186</v>
      </c>
      <c r="M109" s="71">
        <f>M107-M108</f>
        <v>9425.989999999998</v>
      </c>
      <c r="N109" s="71">
        <f>N107-N108</f>
        <v>3333.96000000001</v>
      </c>
      <c r="O109" s="53">
        <f t="shared" si="35"/>
        <v>-6092.029999999988</v>
      </c>
      <c r="P109" s="52">
        <f>N109/M109*100</f>
        <v>35.36986565867363</v>
      </c>
      <c r="Q109" s="52">
        <f>N109-8729</f>
        <v>-5395.03999999999</v>
      </c>
      <c r="R109" s="137">
        <f>N109/8729</f>
        <v>0.3819406575781888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342706.45</v>
      </c>
      <c r="G110" s="111">
        <f>F110-E110</f>
        <v>-5976.149999999965</v>
      </c>
      <c r="H110" s="72">
        <f>F110/E110*100</f>
        <v>98.2860773666366</v>
      </c>
      <c r="I110" s="81">
        <f t="shared" si="34"/>
        <v>-45506.75</v>
      </c>
      <c r="J110" s="52">
        <f t="shared" si="36"/>
        <v>88.27789729973118</v>
      </c>
      <c r="K110" s="52"/>
      <c r="L110" s="137"/>
      <c r="M110" s="72">
        <f>E110-жовтень!E110</f>
        <v>33441.899999999965</v>
      </c>
      <c r="N110" s="71">
        <f>N108</f>
        <v>25819.090000000026</v>
      </c>
      <c r="O110" s="63">
        <f t="shared" si="35"/>
        <v>-7622.8099999999395</v>
      </c>
      <c r="P110" s="52">
        <f>N110/M110*100</f>
        <v>77.20581067463289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0.55</v>
      </c>
      <c r="G114" s="49">
        <f aca="true" t="shared" si="37" ref="G114:G126">F114-E114</f>
        <v>0.55</v>
      </c>
      <c r="H114" s="40"/>
      <c r="I114" s="60">
        <f aca="true" t="shared" si="38" ref="I114:I125">F114-D114</f>
        <v>0.55</v>
      </c>
      <c r="J114" s="60"/>
      <c r="K114" s="60">
        <f>F114-20.7</f>
        <v>-20.15</v>
      </c>
      <c r="L114" s="138">
        <f>F114/20.7</f>
        <v>0.026570048309178747</v>
      </c>
      <c r="M114" s="40">
        <f>E114-жовтень!E114</f>
        <v>0</v>
      </c>
      <c r="N114" s="40">
        <f>F114-жовтень!F114</f>
        <v>0.5900000000000001</v>
      </c>
      <c r="O114" s="53"/>
      <c r="P114" s="60"/>
      <c r="Q114" s="60">
        <f>N114-(-0.8)</f>
        <v>1.3900000000000001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1451.25</v>
      </c>
      <c r="G115" s="49">
        <f t="shared" si="37"/>
        <v>-1883.15</v>
      </c>
      <c r="H115" s="40">
        <f aca="true" t="shared" si="39" ref="H115:H126">F115/E115*100</f>
        <v>43.52357245681382</v>
      </c>
      <c r="I115" s="60">
        <f t="shared" si="38"/>
        <v>-2220.25</v>
      </c>
      <c r="J115" s="60">
        <f aca="true" t="shared" si="40" ref="J115:J121">F115/D115*100</f>
        <v>39.527441100367696</v>
      </c>
      <c r="K115" s="60">
        <f>F115-3211.4</f>
        <v>-1760.15</v>
      </c>
      <c r="L115" s="138">
        <f>F115/3211.4</f>
        <v>0.4519057109049013</v>
      </c>
      <c r="M115" s="40">
        <f>E115-жовтень!E115</f>
        <v>327.4000000000001</v>
      </c>
      <c r="N115" s="40">
        <f>F115-жовтень!F115</f>
        <v>132.70000000000005</v>
      </c>
      <c r="O115" s="53">
        <f aca="true" t="shared" si="41" ref="O115:O126">N115-M115</f>
        <v>-194.70000000000005</v>
      </c>
      <c r="P115" s="60">
        <f>N115/M115*100</f>
        <v>40.53145998778253</v>
      </c>
      <c r="Q115" s="60">
        <f>N115-83.3</f>
        <v>49.40000000000005</v>
      </c>
      <c r="R115" s="138">
        <f>N115/83.3</f>
        <v>1.593037214885955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284.81</v>
      </c>
      <c r="G116" s="49">
        <f t="shared" si="37"/>
        <v>40.31</v>
      </c>
      <c r="H116" s="40">
        <f t="shared" si="39"/>
        <v>116.48670756646217</v>
      </c>
      <c r="I116" s="60">
        <f t="shared" si="38"/>
        <v>16.70999999999998</v>
      </c>
      <c r="J116" s="60">
        <f t="shared" si="40"/>
        <v>106.23274897426333</v>
      </c>
      <c r="K116" s="60">
        <f>F116-245.6</f>
        <v>39.21000000000001</v>
      </c>
      <c r="L116" s="138">
        <f>F116/245.6</f>
        <v>1.1596498371335506</v>
      </c>
      <c r="M116" s="40">
        <f>E116-жовтень!E116</f>
        <v>22</v>
      </c>
      <c r="N116" s="40">
        <f>F116-жовтень!F116</f>
        <v>21.560000000000002</v>
      </c>
      <c r="O116" s="53">
        <f t="shared" si="41"/>
        <v>-0.4399999999999977</v>
      </c>
      <c r="P116" s="60">
        <f>N116/M116*100</f>
        <v>98.00000000000001</v>
      </c>
      <c r="Q116" s="60">
        <f>N116-24.1</f>
        <v>-2.539999999999999</v>
      </c>
      <c r="R116" s="138">
        <f>N116/24.1</f>
        <v>0.8946058091286307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1736.61</v>
      </c>
      <c r="G117" s="62">
        <f t="shared" si="37"/>
        <v>-1842.2900000000002</v>
      </c>
      <c r="H117" s="72">
        <f t="shared" si="39"/>
        <v>48.523568694291534</v>
      </c>
      <c r="I117" s="61">
        <f t="shared" si="38"/>
        <v>-2202.99</v>
      </c>
      <c r="J117" s="61">
        <f t="shared" si="40"/>
        <v>44.080871154431925</v>
      </c>
      <c r="K117" s="61">
        <f>F117-3477.6</f>
        <v>-1740.99</v>
      </c>
      <c r="L117" s="139">
        <f>F117/3477.6</f>
        <v>0.4993702553485162</v>
      </c>
      <c r="M117" s="62">
        <f>M115+M116+M114</f>
        <v>349.4000000000001</v>
      </c>
      <c r="N117" s="38">
        <f>SUM(N114:N116)</f>
        <v>154.85000000000005</v>
      </c>
      <c r="O117" s="61">
        <f t="shared" si="41"/>
        <v>-194.55000000000004</v>
      </c>
      <c r="P117" s="61">
        <f>N117/M117*100</f>
        <v>44.318832283915285</v>
      </c>
      <c r="Q117" s="61">
        <f>N117-106.6</f>
        <v>48.25000000000006</v>
      </c>
      <c r="R117" s="139">
        <f>N117/106.6</f>
        <v>1.4526266416510325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450.34</v>
      </c>
      <c r="G119" s="49">
        <f t="shared" si="37"/>
        <v>189.83999999999997</v>
      </c>
      <c r="H119" s="40">
        <f t="shared" si="39"/>
        <v>172.87523992322457</v>
      </c>
      <c r="I119" s="60">
        <f t="shared" si="38"/>
        <v>183.14</v>
      </c>
      <c r="J119" s="60">
        <f t="shared" si="40"/>
        <v>168.54041916167662</v>
      </c>
      <c r="K119" s="60">
        <f>F119-237.7</f>
        <v>212.64</v>
      </c>
      <c r="L119" s="138">
        <f>F119/237.7</f>
        <v>1.8945729911653344</v>
      </c>
      <c r="M119" s="40">
        <f>E119-жовтень!E119</f>
        <v>0</v>
      </c>
      <c r="N119" s="40">
        <f>F119-жовтень!F119</f>
        <v>13.339999999999975</v>
      </c>
      <c r="O119" s="53">
        <f>N119-M119</f>
        <v>13.339999999999975</v>
      </c>
      <c r="P119" s="60" t="e">
        <f>N119/M119*100</f>
        <v>#DIV/0!</v>
      </c>
      <c r="Q119" s="60">
        <f>N119-3.5</f>
        <v>9.839999999999975</v>
      </c>
      <c r="R119" s="138">
        <f>N119/3.5</f>
        <v>3.8114285714285643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78995.26</v>
      </c>
      <c r="G120" s="49">
        <f t="shared" si="37"/>
        <v>10282.659999999989</v>
      </c>
      <c r="H120" s="40">
        <f t="shared" si="39"/>
        <v>114.96473718066262</v>
      </c>
      <c r="I120" s="53">
        <f t="shared" si="38"/>
        <v>7019.2699999999895</v>
      </c>
      <c r="J120" s="60">
        <f t="shared" si="40"/>
        <v>109.75223821165918</v>
      </c>
      <c r="K120" s="60">
        <f>F120-66794.9</f>
        <v>12200.36</v>
      </c>
      <c r="L120" s="138">
        <f>F120/66794.9</f>
        <v>1.182654064906153</v>
      </c>
      <c r="M120" s="40">
        <f>E120-жовтень!E120</f>
        <v>8700.000000000007</v>
      </c>
      <c r="N120" s="40">
        <f>F120-жовтень!F120</f>
        <v>11137.979999999996</v>
      </c>
      <c r="O120" s="53">
        <f t="shared" si="41"/>
        <v>2437.9799999999886</v>
      </c>
      <c r="P120" s="60">
        <f aca="true" t="shared" si="42" ref="P120:P125">N120/M120*100</f>
        <v>128.0227586206895</v>
      </c>
      <c r="Q120" s="60">
        <f>N120-8604.8</f>
        <v>2533.1799999999967</v>
      </c>
      <c r="R120" s="138">
        <f>N120/8604.8</f>
        <v>1.2943915024172552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1754.81</v>
      </c>
      <c r="G121" s="49">
        <f t="shared" si="37"/>
        <v>-1606.38</v>
      </c>
      <c r="H121" s="40">
        <f t="shared" si="39"/>
        <v>52.20799776269713</v>
      </c>
      <c r="I121" s="60">
        <f t="shared" si="38"/>
        <v>-2995.19</v>
      </c>
      <c r="J121" s="60">
        <f t="shared" si="40"/>
        <v>36.94336842105263</v>
      </c>
      <c r="K121" s="60">
        <f>F121-1790.1</f>
        <v>-35.289999999999964</v>
      </c>
      <c r="L121" s="138">
        <f>F121/1790.1</f>
        <v>0.9802860175409195</v>
      </c>
      <c r="M121" s="40">
        <f>E121-жовтень!E121</f>
        <v>161.78999999999996</v>
      </c>
      <c r="N121" s="40">
        <f>F121-жовтень!F121</f>
        <v>0.01999999999998181</v>
      </c>
      <c r="O121" s="53">
        <f t="shared" si="41"/>
        <v>-161.76999999999998</v>
      </c>
      <c r="P121" s="60">
        <f t="shared" si="42"/>
        <v>0.012361703442723167</v>
      </c>
      <c r="Q121" s="60">
        <f>N121-500.5</f>
        <v>-500.48</v>
      </c>
      <c r="R121" s="138">
        <f>N121/500.5</f>
        <v>3.996003996000362E-05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3797.84</v>
      </c>
      <c r="G122" s="49">
        <f t="shared" si="37"/>
        <v>-16511.89</v>
      </c>
      <c r="H122" s="40">
        <f t="shared" si="39"/>
        <v>18.699608512767036</v>
      </c>
      <c r="I122" s="60">
        <f t="shared" si="38"/>
        <v>-19279.29</v>
      </c>
      <c r="J122" s="60">
        <f>F122/D122*100</f>
        <v>16.457159100806727</v>
      </c>
      <c r="K122" s="60">
        <f>F122-23492</f>
        <v>-19694.16</v>
      </c>
      <c r="L122" s="138">
        <f>F122/23492</f>
        <v>0.16166524774391283</v>
      </c>
      <c r="M122" s="40">
        <f>E122-жовтень!E122</f>
        <v>2733.5</v>
      </c>
      <c r="N122" s="40">
        <f>F122-жовтень!F122</f>
        <v>1035.7400000000002</v>
      </c>
      <c r="O122" s="53">
        <f t="shared" si="41"/>
        <v>-1697.7599999999998</v>
      </c>
      <c r="P122" s="60">
        <f t="shared" si="42"/>
        <v>37.8906164258277</v>
      </c>
      <c r="Q122" s="60">
        <f>N122-826.2</f>
        <v>209.5400000000002</v>
      </c>
      <c r="R122" s="138">
        <f>N122/826.2</f>
        <v>1.25361897845558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1290.64</v>
      </c>
      <c r="G123" s="49">
        <f t="shared" si="37"/>
        <v>-519.76</v>
      </c>
      <c r="H123" s="40">
        <f t="shared" si="39"/>
        <v>71.29032258064515</v>
      </c>
      <c r="I123" s="60">
        <f t="shared" si="38"/>
        <v>-709.3599999999999</v>
      </c>
      <c r="J123" s="60">
        <f>F123/D123*100</f>
        <v>64.532</v>
      </c>
      <c r="K123" s="60">
        <f>F123-1731.9</f>
        <v>-441.26</v>
      </c>
      <c r="L123" s="138">
        <f>F123/1731.9</f>
        <v>0.7452162365032623</v>
      </c>
      <c r="M123" s="40">
        <f>E123-жовтень!E123</f>
        <v>189.59000000000015</v>
      </c>
      <c r="N123" s="40">
        <f>F123-жовтень!F123</f>
        <v>156.62000000000012</v>
      </c>
      <c r="O123" s="53">
        <f t="shared" si="41"/>
        <v>-32.97000000000003</v>
      </c>
      <c r="P123" s="60">
        <f t="shared" si="42"/>
        <v>82.60984229126008</v>
      </c>
      <c r="Q123" s="60">
        <f>N123-9.2</f>
        <v>147.42000000000013</v>
      </c>
      <c r="R123" s="138">
        <f>N123/9.2</f>
        <v>17.023913043478274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86288.88999999998</v>
      </c>
      <c r="G124" s="62">
        <f t="shared" si="37"/>
        <v>-8165.530000000013</v>
      </c>
      <c r="H124" s="72">
        <f t="shared" si="39"/>
        <v>91.35505781518745</v>
      </c>
      <c r="I124" s="61">
        <f t="shared" si="38"/>
        <v>-15781.430000000022</v>
      </c>
      <c r="J124" s="61">
        <f>F124/D124*100</f>
        <v>84.53866902739207</v>
      </c>
      <c r="K124" s="61">
        <f>F124-94046.5</f>
        <v>-7757.610000000015</v>
      </c>
      <c r="L124" s="139">
        <f>F124/94046.5</f>
        <v>0.9175130387627396</v>
      </c>
      <c r="M124" s="62">
        <f>M120+M121+M122+M123+M119</f>
        <v>11784.880000000008</v>
      </c>
      <c r="N124" s="62">
        <f>N120+N121+N122+N123+N119</f>
        <v>12343.699999999997</v>
      </c>
      <c r="O124" s="61">
        <f t="shared" si="41"/>
        <v>558.8199999999888</v>
      </c>
      <c r="P124" s="61">
        <f t="shared" si="42"/>
        <v>104.74183869500571</v>
      </c>
      <c r="Q124" s="61">
        <f>N124-9944.1</f>
        <v>2399.5999999999967</v>
      </c>
      <c r="R124" s="139">
        <f>N124/9944.1</f>
        <v>1.241308916845164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E125-вересень!E125</f>
        <v>7.9999999999999964</v>
      </c>
      <c r="N125" s="40">
        <f>F125-вересень!F125</f>
        <v>10.839999999999996</v>
      </c>
      <c r="O125" s="53">
        <f t="shared" si="41"/>
        <v>2.84</v>
      </c>
      <c r="P125" s="60">
        <f t="shared" si="42"/>
        <v>135.50000000000003</v>
      </c>
      <c r="Q125" s="60">
        <f>N125-0.2</f>
        <v>10.639999999999997</v>
      </c>
      <c r="R125" s="138">
        <f>N125/0.2</f>
        <v>54.19999999999998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8358.69</v>
      </c>
      <c r="G128" s="49">
        <f aca="true" t="shared" si="43" ref="G128:G135">F128-E128</f>
        <v>-340.3099999999995</v>
      </c>
      <c r="H128" s="40">
        <f>F128/E128*100</f>
        <v>96.08794114266009</v>
      </c>
      <c r="I128" s="60">
        <f aca="true" t="shared" si="44" ref="I128:I135">F128-D128</f>
        <v>-341.3099999999995</v>
      </c>
      <c r="J128" s="60">
        <f>F128/D128*100</f>
        <v>96.07689655172415</v>
      </c>
      <c r="K128" s="60">
        <f>F128-10826.4</f>
        <v>-2467.709999999999</v>
      </c>
      <c r="L128" s="138">
        <f>F128/10826.4</f>
        <v>0.7720655065395701</v>
      </c>
      <c r="M128" s="40">
        <f>E128-вересень!E128</f>
        <v>1980.5</v>
      </c>
      <c r="N128" s="40">
        <f>F128-вересень!F128</f>
        <v>989.8100000000004</v>
      </c>
      <c r="O128" s="53">
        <f aca="true" t="shared" si="45" ref="O128:O135">N128-M128</f>
        <v>-990.6899999999996</v>
      </c>
      <c r="P128" s="60">
        <f>N128/M128*100</f>
        <v>49.977783388033345</v>
      </c>
      <c r="Q128" s="60">
        <f>N128-2097.7</f>
        <v>-1107.8899999999994</v>
      </c>
      <c r="R128" s="162">
        <f>N128/2097.7</f>
        <v>0.4718548886876105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1.36</v>
      </c>
      <c r="G129" s="49">
        <f t="shared" si="43"/>
        <v>1.36</v>
      </c>
      <c r="H129" s="40"/>
      <c r="I129" s="60">
        <f t="shared" si="44"/>
        <v>1.36</v>
      </c>
      <c r="J129" s="60"/>
      <c r="K129" s="60">
        <f>F129-0.8</f>
        <v>0.56</v>
      </c>
      <c r="L129" s="138">
        <f>F129/0.8</f>
        <v>1.7</v>
      </c>
      <c r="M129" s="40">
        <f>E129-вересень!E129</f>
        <v>0</v>
      </c>
      <c r="N129" s="40">
        <f>F129-вересень!F129</f>
        <v>0.28</v>
      </c>
      <c r="O129" s="53">
        <f t="shared" si="45"/>
        <v>0.28</v>
      </c>
      <c r="P129" s="60"/>
      <c r="Q129" s="60">
        <f>N129-(-0.3)</f>
        <v>0.5800000000000001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8414.54</v>
      </c>
      <c r="G130" s="62">
        <f t="shared" si="43"/>
        <v>-326.8199999999997</v>
      </c>
      <c r="H130" s="72">
        <f>F130/E130*100</f>
        <v>96.26122250999845</v>
      </c>
      <c r="I130" s="61">
        <f t="shared" si="44"/>
        <v>-336.15999999999985</v>
      </c>
      <c r="J130" s="61">
        <f>F130/D130*100</f>
        <v>96.1584787502714</v>
      </c>
      <c r="K130" s="61">
        <f>F130-10959.2</f>
        <v>-2544.66</v>
      </c>
      <c r="L130" s="139">
        <f>G130/10959.2</f>
        <v>-0.02982151981896486</v>
      </c>
      <c r="M130" s="62">
        <f>M125+M128+M129+M127</f>
        <v>1988.5</v>
      </c>
      <c r="N130" s="62">
        <f>N125+N128+N129+N127</f>
        <v>1000.9300000000004</v>
      </c>
      <c r="O130" s="61">
        <f t="shared" si="45"/>
        <v>-987.5699999999996</v>
      </c>
      <c r="P130" s="61">
        <f>N130/M130*100</f>
        <v>50.33593160673877</v>
      </c>
      <c r="Q130" s="61">
        <f>N130-2098.3</f>
        <v>-1097.37</v>
      </c>
      <c r="R130" s="137">
        <f>N130/2098.3</f>
        <v>0.4770194919696899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33.63</v>
      </c>
      <c r="G131" s="49">
        <f>F131-E131</f>
        <v>9.380000000000003</v>
      </c>
      <c r="H131" s="40">
        <f>F131/E131*100</f>
        <v>138.68041237113403</v>
      </c>
      <c r="I131" s="60">
        <f>F131-D131</f>
        <v>3.6300000000000026</v>
      </c>
      <c r="J131" s="60">
        <f>F131/D131*100</f>
        <v>112.1</v>
      </c>
      <c r="K131" s="60">
        <f>F131-28.2</f>
        <v>5.430000000000003</v>
      </c>
      <c r="L131" s="138">
        <f>F131/28.2</f>
        <v>1.192553191489362</v>
      </c>
      <c r="M131" s="40">
        <f>E131-вересень!E131</f>
        <v>0.8000000000000007</v>
      </c>
      <c r="N131" s="40">
        <f>F131-вересень!F131</f>
        <v>1.7700000000000031</v>
      </c>
      <c r="O131" s="53">
        <f>N131-M131</f>
        <v>0.9700000000000024</v>
      </c>
      <c r="P131" s="60">
        <f>N131/M131*100</f>
        <v>221.25000000000023</v>
      </c>
      <c r="Q131" s="60">
        <f>N131-0.2</f>
        <v>1.5700000000000032</v>
      </c>
      <c r="R131" s="138">
        <f>N131/0.2</f>
        <v>8.850000000000016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96473.66999999998</v>
      </c>
      <c r="G134" s="50">
        <f t="shared" si="43"/>
        <v>-10325.26000000001</v>
      </c>
      <c r="H134" s="51">
        <f>F134/E134*100</f>
        <v>90.33205669757177</v>
      </c>
      <c r="I134" s="36">
        <f t="shared" si="44"/>
        <v>-18316.950000000026</v>
      </c>
      <c r="J134" s="36">
        <f>F134/D134*100</f>
        <v>84.04316485092596</v>
      </c>
      <c r="K134" s="36">
        <f>F134-108511.5</f>
        <v>-12037.830000000016</v>
      </c>
      <c r="L134" s="136">
        <f>F134/108511.5</f>
        <v>0.8890640162563413</v>
      </c>
      <c r="M134" s="31">
        <f>M117+M131+M124+M130+M133+M132</f>
        <v>14123.580000000009</v>
      </c>
      <c r="N134" s="31">
        <f>N117+N131+N124+N130+N133+N132</f>
        <v>13501.249999999998</v>
      </c>
      <c r="O134" s="36">
        <f t="shared" si="45"/>
        <v>-622.3300000000108</v>
      </c>
      <c r="P134" s="36">
        <f>N134/M134*100</f>
        <v>95.59368092225901</v>
      </c>
      <c r="Q134" s="36">
        <f>N134-12149.2</f>
        <v>1352.0499999999975</v>
      </c>
      <c r="R134" s="136">
        <f>N134/12149.2</f>
        <v>1.1112871629407695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525196.9600000001</v>
      </c>
      <c r="G135" s="50">
        <f t="shared" si="43"/>
        <v>-28167.199999999837</v>
      </c>
      <c r="H135" s="51">
        <f>F135/E135*100</f>
        <v>94.90982574657531</v>
      </c>
      <c r="I135" s="36">
        <f t="shared" si="44"/>
        <v>-96473.2599999999</v>
      </c>
      <c r="J135" s="36">
        <f>F135/D135*100</f>
        <v>84.48160183706405</v>
      </c>
      <c r="K135" s="36">
        <f>F135-547461.7</f>
        <v>-22264.739999999874</v>
      </c>
      <c r="L135" s="136">
        <f>F135/547461.7</f>
        <v>0.959330963243639</v>
      </c>
      <c r="M135" s="22">
        <f>M107+M134</f>
        <v>55961.47000000003</v>
      </c>
      <c r="N135" s="22">
        <f>N107+N134</f>
        <v>42654.30000000003</v>
      </c>
      <c r="O135" s="36">
        <f t="shared" si="45"/>
        <v>-13307.169999999998</v>
      </c>
      <c r="P135" s="36">
        <f>N135/M135*100</f>
        <v>76.22083551414931</v>
      </c>
      <c r="Q135" s="36">
        <f>N135-53205.8</f>
        <v>-10551.49999999997</v>
      </c>
      <c r="R135" s="136">
        <f>N135/53205.8</f>
        <v>0.801685154626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4</v>
      </c>
      <c r="D137" s="4" t="s">
        <v>118</v>
      </c>
    </row>
    <row r="138" spans="2:17" ht="31.5">
      <c r="B138" s="78" t="s">
        <v>154</v>
      </c>
      <c r="C138" s="39">
        <f>IF(O107&lt;0,ABS(O107/C137),0)</f>
        <v>3171.2099999999964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41967</v>
      </c>
      <c r="D139" s="39">
        <v>866.1</v>
      </c>
      <c r="N139" s="211"/>
      <c r="O139" s="211"/>
    </row>
    <row r="140" spans="3:15" ht="15.75">
      <c r="C140" s="120">
        <v>41964</v>
      </c>
      <c r="D140" s="39">
        <v>3778.8</v>
      </c>
      <c r="F140" s="4" t="s">
        <v>166</v>
      </c>
      <c r="G140" s="179" t="s">
        <v>151</v>
      </c>
      <c r="H140" s="179"/>
      <c r="I140" s="115">
        <v>8909.73221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41963</v>
      </c>
      <c r="D141" s="39">
        <v>2802.4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122734.26486</v>
      </c>
      <c r="E143" s="80"/>
      <c r="F143" s="100" t="s">
        <v>147</v>
      </c>
      <c r="G143" s="179" t="s">
        <v>149</v>
      </c>
      <c r="H143" s="179"/>
      <c r="I143" s="116">
        <v>113824.53265000001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9388.89666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3" t="s">
        <v>193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221" t="s">
        <v>187</v>
      </c>
      <c r="E3" s="46"/>
      <c r="F3" s="222" t="s">
        <v>107</v>
      </c>
      <c r="G3" s="223"/>
      <c r="H3" s="223"/>
      <c r="I3" s="223"/>
      <c r="J3" s="224"/>
      <c r="K3" s="123"/>
      <c r="L3" s="123"/>
      <c r="M3" s="225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5"/>
      <c r="B4" s="187"/>
      <c r="C4" s="188"/>
      <c r="D4" s="221"/>
      <c r="E4" s="226" t="s">
        <v>191</v>
      </c>
      <c r="F4" s="228" t="s">
        <v>116</v>
      </c>
      <c r="G4" s="230" t="s">
        <v>167</v>
      </c>
      <c r="H4" s="200" t="s">
        <v>168</v>
      </c>
      <c r="I4" s="232" t="s">
        <v>188</v>
      </c>
      <c r="J4" s="234" t="s">
        <v>189</v>
      </c>
      <c r="K4" s="125" t="s">
        <v>174</v>
      </c>
      <c r="L4" s="130" t="s">
        <v>173</v>
      </c>
      <c r="M4" s="225"/>
      <c r="N4" s="181" t="s">
        <v>194</v>
      </c>
      <c r="O4" s="232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6"/>
      <c r="B5" s="187"/>
      <c r="C5" s="188"/>
      <c r="D5" s="221"/>
      <c r="E5" s="227"/>
      <c r="F5" s="229"/>
      <c r="G5" s="231"/>
      <c r="H5" s="201"/>
      <c r="I5" s="233"/>
      <c r="J5" s="235"/>
      <c r="K5" s="208" t="s">
        <v>184</v>
      </c>
      <c r="L5" s="209"/>
      <c r="M5" s="225"/>
      <c r="N5" s="182"/>
      <c r="O5" s="233"/>
      <c r="P5" s="220"/>
      <c r="Q5" s="208" t="s">
        <v>199</v>
      </c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11"/>
      <c r="O138" s="211"/>
    </row>
    <row r="139" spans="3:15" ht="15.75">
      <c r="C139" s="120">
        <v>41697</v>
      </c>
      <c r="D139" s="39">
        <v>2276.8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41696</v>
      </c>
      <c r="D140" s="39">
        <v>3746.1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f>'[1]залишки  (2)'!$G$8/1000</f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121970.53</v>
      </c>
      <c r="E142" s="80"/>
      <c r="F142" s="100" t="s">
        <v>147</v>
      </c>
      <c r="G142" s="179" t="s">
        <v>149</v>
      </c>
      <c r="H142" s="179"/>
      <c r="I142" s="116">
        <v>108145.31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0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3" t="s">
        <v>183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221" t="s">
        <v>192</v>
      </c>
      <c r="E3" s="46"/>
      <c r="F3" s="222" t="s">
        <v>107</v>
      </c>
      <c r="G3" s="223"/>
      <c r="H3" s="223"/>
      <c r="I3" s="223"/>
      <c r="J3" s="224"/>
      <c r="K3" s="123"/>
      <c r="L3" s="123"/>
      <c r="M3" s="204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5"/>
      <c r="B4" s="187"/>
      <c r="C4" s="188"/>
      <c r="D4" s="221"/>
      <c r="E4" s="226" t="s">
        <v>153</v>
      </c>
      <c r="F4" s="228" t="s">
        <v>116</v>
      </c>
      <c r="G4" s="230" t="s">
        <v>175</v>
      </c>
      <c r="H4" s="200" t="s">
        <v>176</v>
      </c>
      <c r="I4" s="232" t="s">
        <v>188</v>
      </c>
      <c r="J4" s="234" t="s">
        <v>189</v>
      </c>
      <c r="K4" s="125" t="s">
        <v>174</v>
      </c>
      <c r="L4" s="130" t="s">
        <v>173</v>
      </c>
      <c r="M4" s="236"/>
      <c r="N4" s="181" t="s">
        <v>186</v>
      </c>
      <c r="O4" s="232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6"/>
      <c r="B5" s="187"/>
      <c r="C5" s="188"/>
      <c r="D5" s="221"/>
      <c r="E5" s="227"/>
      <c r="F5" s="229"/>
      <c r="G5" s="231"/>
      <c r="H5" s="201"/>
      <c r="I5" s="233"/>
      <c r="J5" s="235"/>
      <c r="K5" s="208" t="s">
        <v>177</v>
      </c>
      <c r="L5" s="209"/>
      <c r="M5" s="205"/>
      <c r="N5" s="182"/>
      <c r="O5" s="233"/>
      <c r="P5" s="220"/>
      <c r="Q5" s="208" t="s">
        <v>179</v>
      </c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11"/>
      <c r="O138" s="211"/>
    </row>
    <row r="139" spans="3:15" ht="15.75">
      <c r="C139" s="120">
        <v>41669</v>
      </c>
      <c r="D139" s="39">
        <v>4752.2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41668</v>
      </c>
      <c r="D140" s="39">
        <v>1984.7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111410.62</v>
      </c>
      <c r="E142" s="80"/>
      <c r="F142" s="100" t="s">
        <v>147</v>
      </c>
      <c r="G142" s="179" t="s">
        <v>149</v>
      </c>
      <c r="H142" s="179"/>
      <c r="I142" s="116">
        <v>97585.4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0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9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03" sqref="F10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288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282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279</v>
      </c>
      <c r="H4" s="200" t="s">
        <v>280</v>
      </c>
      <c r="I4" s="202" t="s">
        <v>188</v>
      </c>
      <c r="J4" s="204" t="s">
        <v>189</v>
      </c>
      <c r="K4" s="206" t="s">
        <v>285</v>
      </c>
      <c r="L4" s="207"/>
      <c r="M4" s="194"/>
      <c r="N4" s="181" t="s">
        <v>289</v>
      </c>
      <c r="O4" s="202" t="s">
        <v>136</v>
      </c>
      <c r="P4" s="202" t="s">
        <v>135</v>
      </c>
      <c r="Q4" s="206" t="s">
        <v>287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278</v>
      </c>
      <c r="F5" s="197"/>
      <c r="G5" s="199"/>
      <c r="H5" s="201"/>
      <c r="I5" s="203"/>
      <c r="J5" s="205"/>
      <c r="K5" s="208"/>
      <c r="L5" s="209"/>
      <c r="M5" s="151" t="s">
        <v>281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838.5</v>
      </c>
      <c r="G102" s="144"/>
      <c r="H102" s="146"/>
      <c r="I102" s="145"/>
      <c r="J102" s="145"/>
      <c r="K102" s="148">
        <f>F102-647.5</f>
        <v>191</v>
      </c>
      <c r="L102" s="149">
        <f>F102/647.5</f>
        <v>1.294980694980695</v>
      </c>
      <c r="M102" s="40">
        <f>E102-вересень!E102</f>
        <v>0</v>
      </c>
      <c r="N102" s="40">
        <f>F102-вересень!F102</f>
        <v>80.10000000000002</v>
      </c>
      <c r="O102" s="53"/>
      <c r="P102" s="60"/>
      <c r="Q102" s="60">
        <f>N102-103.3</f>
        <v>-23.199999999999974</v>
      </c>
      <c r="R102" s="138">
        <f>N102/103.3</f>
        <v>0.7754114230396905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211"/>
      <c r="O139" s="211"/>
    </row>
    <row r="140" spans="3:15" ht="15.75">
      <c r="C140" s="120">
        <v>41942</v>
      </c>
      <c r="D140" s="39">
        <v>4208.5</v>
      </c>
      <c r="F140" s="4" t="s">
        <v>166</v>
      </c>
      <c r="G140" s="179" t="s">
        <v>151</v>
      </c>
      <c r="H140" s="179"/>
      <c r="I140" s="115">
        <v>9020.6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41941</v>
      </c>
      <c r="D141" s="39">
        <v>2987.3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116647.51</v>
      </c>
      <c r="E143" s="80"/>
      <c r="F143" s="100" t="s">
        <v>147</v>
      </c>
      <c r="G143" s="179" t="s">
        <v>149</v>
      </c>
      <c r="H143" s="179"/>
      <c r="I143" s="116">
        <v>107626.91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16930.7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272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269</v>
      </c>
      <c r="H4" s="200" t="s">
        <v>270</v>
      </c>
      <c r="I4" s="202" t="s">
        <v>188</v>
      </c>
      <c r="J4" s="204" t="s">
        <v>189</v>
      </c>
      <c r="K4" s="206" t="s">
        <v>274</v>
      </c>
      <c r="L4" s="207"/>
      <c r="M4" s="194"/>
      <c r="N4" s="181" t="s">
        <v>277</v>
      </c>
      <c r="O4" s="202" t="s">
        <v>136</v>
      </c>
      <c r="P4" s="202" t="s">
        <v>135</v>
      </c>
      <c r="Q4" s="206" t="s">
        <v>275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268</v>
      </c>
      <c r="F5" s="197"/>
      <c r="G5" s="199"/>
      <c r="H5" s="201"/>
      <c r="I5" s="203"/>
      <c r="J5" s="205"/>
      <c r="K5" s="208"/>
      <c r="L5" s="209"/>
      <c r="M5" s="151" t="s">
        <v>271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211"/>
      <c r="O139" s="211"/>
    </row>
    <row r="140" spans="3:15" ht="15.75">
      <c r="C140" s="120">
        <v>41911</v>
      </c>
      <c r="D140" s="39">
        <v>4937.4</v>
      </c>
      <c r="F140" s="4" t="s">
        <v>166</v>
      </c>
      <c r="G140" s="179" t="s">
        <v>151</v>
      </c>
      <c r="H140" s="179"/>
      <c r="I140" s="115">
        <f>9020596.53/1000</f>
        <v>9020.596529999999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41908</v>
      </c>
      <c r="D141" s="39">
        <v>1468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f>121201109.21/1000</f>
        <v>121201.10921</v>
      </c>
      <c r="E143" s="80"/>
      <c r="F143" s="100" t="s">
        <v>147</v>
      </c>
      <c r="G143" s="179" t="s">
        <v>149</v>
      </c>
      <c r="H143" s="179"/>
      <c r="I143" s="116">
        <f>112180512.68/1000</f>
        <v>112180.51268000001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f>17426016.57/1000</f>
        <v>17426.01657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261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259</v>
      </c>
      <c r="H4" s="200" t="s">
        <v>260</v>
      </c>
      <c r="I4" s="202" t="s">
        <v>188</v>
      </c>
      <c r="J4" s="204" t="s">
        <v>189</v>
      </c>
      <c r="K4" s="206" t="s">
        <v>264</v>
      </c>
      <c r="L4" s="207"/>
      <c r="M4" s="194"/>
      <c r="N4" s="181" t="s">
        <v>267</v>
      </c>
      <c r="O4" s="202" t="s">
        <v>136</v>
      </c>
      <c r="P4" s="202" t="s">
        <v>135</v>
      </c>
      <c r="Q4" s="206" t="s">
        <v>265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258</v>
      </c>
      <c r="F5" s="197"/>
      <c r="G5" s="199"/>
      <c r="H5" s="201"/>
      <c r="I5" s="203"/>
      <c r="J5" s="205"/>
      <c r="K5" s="208"/>
      <c r="L5" s="209"/>
      <c r="M5" s="151" t="s">
        <v>262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11"/>
      <c r="O139" s="211"/>
    </row>
    <row r="140" spans="3:15" ht="15.75">
      <c r="C140" s="120">
        <v>41879</v>
      </c>
      <c r="D140" s="39">
        <v>3653.6</v>
      </c>
      <c r="F140" s="4" t="s">
        <v>166</v>
      </c>
      <c r="G140" s="179" t="s">
        <v>151</v>
      </c>
      <c r="H140" s="179"/>
      <c r="I140" s="115">
        <v>13829.857960000001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41878</v>
      </c>
      <c r="D141" s="39">
        <v>1194.3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127799.14</v>
      </c>
      <c r="E143" s="80"/>
      <c r="F143" s="100" t="s">
        <v>147</v>
      </c>
      <c r="G143" s="179" t="s">
        <v>149</v>
      </c>
      <c r="H143" s="179"/>
      <c r="I143" s="116">
        <v>113969.28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18493.9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252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249</v>
      </c>
      <c r="H4" s="200" t="s">
        <v>250</v>
      </c>
      <c r="I4" s="202" t="s">
        <v>188</v>
      </c>
      <c r="J4" s="204" t="s">
        <v>189</v>
      </c>
      <c r="K4" s="206" t="s">
        <v>254</v>
      </c>
      <c r="L4" s="207"/>
      <c r="M4" s="194"/>
      <c r="N4" s="181" t="s">
        <v>257</v>
      </c>
      <c r="O4" s="202" t="s">
        <v>136</v>
      </c>
      <c r="P4" s="202" t="s">
        <v>135</v>
      </c>
      <c r="Q4" s="206" t="s">
        <v>255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248</v>
      </c>
      <c r="F5" s="197"/>
      <c r="G5" s="199"/>
      <c r="H5" s="201"/>
      <c r="I5" s="203"/>
      <c r="J5" s="205"/>
      <c r="K5" s="208"/>
      <c r="L5" s="209"/>
      <c r="M5" s="151" t="s">
        <v>251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11"/>
      <c r="O139" s="211"/>
    </row>
    <row r="140" spans="3:15" ht="15.75">
      <c r="C140" s="120">
        <v>41850</v>
      </c>
      <c r="D140" s="39">
        <v>4320</v>
      </c>
      <c r="F140" s="4" t="s">
        <v>166</v>
      </c>
      <c r="G140" s="179" t="s">
        <v>151</v>
      </c>
      <c r="H140" s="179"/>
      <c r="I140" s="115">
        <f>13825221.96/1000</f>
        <v>13825.22196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41849</v>
      </c>
      <c r="D141" s="39">
        <v>4403.7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f>120856761.09/1000</f>
        <v>120856.76109</v>
      </c>
      <c r="E143" s="80"/>
      <c r="F143" s="100" t="s">
        <v>147</v>
      </c>
      <c r="G143" s="179" t="s">
        <v>149</v>
      </c>
      <c r="H143" s="179"/>
      <c r="I143" s="116">
        <f>107031539.13/1000</f>
        <v>107031.53912999999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f>26199804.73/1000</f>
        <v>26199.80473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243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238</v>
      </c>
      <c r="H4" s="200" t="s">
        <v>239</v>
      </c>
      <c r="I4" s="202" t="s">
        <v>188</v>
      </c>
      <c r="J4" s="204" t="s">
        <v>189</v>
      </c>
      <c r="K4" s="206" t="s">
        <v>240</v>
      </c>
      <c r="L4" s="207"/>
      <c r="M4" s="194"/>
      <c r="N4" s="181" t="s">
        <v>247</v>
      </c>
      <c r="O4" s="202" t="s">
        <v>136</v>
      </c>
      <c r="P4" s="202" t="s">
        <v>135</v>
      </c>
      <c r="Q4" s="206" t="s">
        <v>242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237</v>
      </c>
      <c r="F5" s="197"/>
      <c r="G5" s="199"/>
      <c r="H5" s="201"/>
      <c r="I5" s="203"/>
      <c r="J5" s="205"/>
      <c r="K5" s="208"/>
      <c r="L5" s="209"/>
      <c r="M5" s="151" t="s">
        <v>241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11"/>
      <c r="O139" s="211"/>
    </row>
    <row r="140" spans="3:15" ht="15.75">
      <c r="C140" s="120">
        <v>41816</v>
      </c>
      <c r="D140" s="39">
        <v>4277.2</v>
      </c>
      <c r="F140" s="4" t="s">
        <v>166</v>
      </c>
      <c r="G140" s="179" t="s">
        <v>151</v>
      </c>
      <c r="H140" s="179"/>
      <c r="I140" s="115">
        <f>'[1]залишки  (2)'!$G$9/1000</f>
        <v>8909.73221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41815</v>
      </c>
      <c r="D141" s="39">
        <v>1877.7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117976.29</v>
      </c>
      <c r="E143" s="80"/>
      <c r="F143" s="100" t="s">
        <v>147</v>
      </c>
      <c r="G143" s="179" t="s">
        <v>149</v>
      </c>
      <c r="H143" s="179"/>
      <c r="I143" s="116">
        <v>104151.07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41386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235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233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229</v>
      </c>
      <c r="H4" s="200" t="s">
        <v>230</v>
      </c>
      <c r="I4" s="202" t="s">
        <v>188</v>
      </c>
      <c r="J4" s="204" t="s">
        <v>189</v>
      </c>
      <c r="K4" s="206" t="s">
        <v>231</v>
      </c>
      <c r="L4" s="207"/>
      <c r="M4" s="194"/>
      <c r="N4" s="181" t="s">
        <v>236</v>
      </c>
      <c r="O4" s="202" t="s">
        <v>136</v>
      </c>
      <c r="P4" s="202" t="s">
        <v>135</v>
      </c>
      <c r="Q4" s="206" t="s">
        <v>234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228</v>
      </c>
      <c r="F5" s="197"/>
      <c r="G5" s="199"/>
      <c r="H5" s="201"/>
      <c r="I5" s="203"/>
      <c r="J5" s="205"/>
      <c r="K5" s="208"/>
      <c r="L5" s="209"/>
      <c r="M5" s="151" t="s">
        <v>232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11"/>
      <c r="O138" s="211"/>
    </row>
    <row r="139" spans="3:15" ht="15.75">
      <c r="C139" s="120">
        <v>41788</v>
      </c>
      <c r="D139" s="39">
        <v>5993.3</v>
      </c>
      <c r="F139" s="4" t="s">
        <v>166</v>
      </c>
      <c r="G139" s="179" t="s">
        <v>151</v>
      </c>
      <c r="H139" s="179"/>
      <c r="I139" s="115">
        <v>13825.22196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41787</v>
      </c>
      <c r="D140" s="39">
        <v>2595.2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118982.48</v>
      </c>
      <c r="E142" s="80"/>
      <c r="F142" s="100" t="s">
        <v>147</v>
      </c>
      <c r="G142" s="179" t="s">
        <v>149</v>
      </c>
      <c r="H142" s="179"/>
      <c r="I142" s="116">
        <v>105157.26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27359.4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221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217</v>
      </c>
      <c r="H4" s="200" t="s">
        <v>218</v>
      </c>
      <c r="I4" s="202" t="s">
        <v>188</v>
      </c>
      <c r="J4" s="204" t="s">
        <v>189</v>
      </c>
      <c r="K4" s="206" t="s">
        <v>219</v>
      </c>
      <c r="L4" s="207"/>
      <c r="M4" s="194"/>
      <c r="N4" s="181" t="s">
        <v>227</v>
      </c>
      <c r="O4" s="202" t="s">
        <v>136</v>
      </c>
      <c r="P4" s="202" t="s">
        <v>135</v>
      </c>
      <c r="Q4" s="206" t="s">
        <v>222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216</v>
      </c>
      <c r="F5" s="197"/>
      <c r="G5" s="199"/>
      <c r="H5" s="201"/>
      <c r="I5" s="203"/>
      <c r="J5" s="205"/>
      <c r="K5" s="208"/>
      <c r="L5" s="209"/>
      <c r="M5" s="151" t="s">
        <v>220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11"/>
      <c r="O138" s="211"/>
    </row>
    <row r="139" spans="3:15" ht="15.75">
      <c r="C139" s="120">
        <v>41758</v>
      </c>
      <c r="D139" s="39">
        <v>5440.9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41757</v>
      </c>
      <c r="D140" s="39">
        <v>1923.2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123251.48</v>
      </c>
      <c r="E142" s="80"/>
      <c r="F142" s="100" t="s">
        <v>147</v>
      </c>
      <c r="G142" s="179" t="s">
        <v>149</v>
      </c>
      <c r="H142" s="179"/>
      <c r="I142" s="116">
        <v>109426.25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f>'[1]надх'!$B$52/1000</f>
        <v>9388.89666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208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210</v>
      </c>
      <c r="N3" s="195" t="s">
        <v>198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207</v>
      </c>
      <c r="H4" s="200" t="s">
        <v>195</v>
      </c>
      <c r="I4" s="202" t="s">
        <v>188</v>
      </c>
      <c r="J4" s="204" t="s">
        <v>189</v>
      </c>
      <c r="K4" s="206" t="s">
        <v>196</v>
      </c>
      <c r="L4" s="207"/>
      <c r="M4" s="194"/>
      <c r="N4" s="181" t="s">
        <v>213</v>
      </c>
      <c r="O4" s="202" t="s">
        <v>136</v>
      </c>
      <c r="P4" s="202" t="s">
        <v>135</v>
      </c>
      <c r="Q4" s="206" t="s">
        <v>197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214</v>
      </c>
      <c r="F5" s="197"/>
      <c r="G5" s="199"/>
      <c r="H5" s="201"/>
      <c r="I5" s="203"/>
      <c r="J5" s="205"/>
      <c r="K5" s="208"/>
      <c r="L5" s="209"/>
      <c r="M5" s="151" t="s">
        <v>211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11"/>
      <c r="O138" s="211"/>
    </row>
    <row r="139" spans="3:15" ht="15.75">
      <c r="C139" s="120">
        <v>41726</v>
      </c>
      <c r="D139" s="39">
        <v>4682.6</v>
      </c>
      <c r="F139" s="4" t="s">
        <v>166</v>
      </c>
      <c r="G139" s="179" t="s">
        <v>151</v>
      </c>
      <c r="H139" s="179"/>
      <c r="I139" s="115">
        <v>13825.22196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41725</v>
      </c>
      <c r="D140" s="39">
        <v>3360.7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114985.02570999999</v>
      </c>
      <c r="E142" s="80"/>
      <c r="F142" s="100" t="s">
        <v>147</v>
      </c>
      <c r="G142" s="179" t="s">
        <v>149</v>
      </c>
      <c r="H142" s="179"/>
      <c r="I142" s="116">
        <v>101159.80375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3918.1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2014-11-24T08:19:15Z</cp:lastPrinted>
  <dcterms:created xsi:type="dcterms:W3CDTF">2003-07-28T11:27:56Z</dcterms:created>
  <dcterms:modified xsi:type="dcterms:W3CDTF">2014-11-25T09:21:34Z</dcterms:modified>
  <cp:category/>
  <cp:version/>
  <cp:contentType/>
  <cp:contentStatus/>
</cp:coreProperties>
</file>